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xy_\Documents\TrueFox solutions\Conidi\mlbOracle\data_and_models\"/>
    </mc:Choice>
  </mc:AlternateContent>
  <xr:revisionPtr revIDLastSave="0" documentId="13_ncr:1_{3207062A-EB75-4D2B-8D6B-B4EFFC60F3A0}" xr6:coauthVersionLast="47" xr6:coauthVersionMax="47" xr10:uidLastSave="{00000000-0000-0000-0000-000000000000}"/>
  <bookViews>
    <workbookView xWindow="-110" yWindow="-110" windowWidth="19420" windowHeight="10420" xr2:uid="{91353935-DE8A-4E37-B064-86DAF9C346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K8" i="1"/>
  <c r="K12" i="1"/>
  <c r="K14" i="1"/>
  <c r="K7" i="1"/>
  <c r="K11" i="1"/>
  <c r="K9" i="1"/>
  <c r="K16" i="1"/>
  <c r="K31" i="1"/>
  <c r="K15" i="1"/>
  <c r="K5" i="1"/>
  <c r="K24" i="1"/>
  <c r="K2" i="1"/>
  <c r="K29" i="1"/>
  <c r="K28" i="1"/>
  <c r="K27" i="1"/>
  <c r="K13" i="1"/>
  <c r="K10" i="1"/>
  <c r="K21" i="1"/>
  <c r="K30" i="1"/>
  <c r="K6" i="1"/>
  <c r="K23" i="1"/>
  <c r="K4" i="1"/>
  <c r="K20" i="1"/>
  <c r="K22" i="1"/>
  <c r="K26" i="1"/>
  <c r="K25" i="1"/>
  <c r="K19" i="1"/>
  <c r="K18" i="1"/>
  <c r="K17" i="1"/>
  <c r="K3" i="1"/>
  <c r="J31" i="1"/>
  <c r="I31" i="1"/>
  <c r="J30" i="1"/>
  <c r="G30" i="1" s="1"/>
  <c r="L30" i="1" s="1"/>
  <c r="I30" i="1"/>
  <c r="J29" i="1"/>
  <c r="I29" i="1"/>
  <c r="J28" i="1"/>
  <c r="I28" i="1"/>
  <c r="J27" i="1"/>
  <c r="I27" i="1"/>
  <c r="G27" i="1" s="1"/>
  <c r="L27" i="1" s="1"/>
  <c r="J26" i="1"/>
  <c r="I26" i="1"/>
  <c r="J25" i="1"/>
  <c r="I25" i="1"/>
  <c r="J24" i="1"/>
  <c r="G24" i="1" s="1"/>
  <c r="L24" i="1" s="1"/>
  <c r="I24" i="1"/>
  <c r="J22" i="1"/>
  <c r="G22" i="1" s="1"/>
  <c r="L22" i="1" s="1"/>
  <c r="I22" i="1"/>
  <c r="J21" i="1"/>
  <c r="I21" i="1"/>
  <c r="J20" i="1"/>
  <c r="I20" i="1"/>
  <c r="J19" i="1"/>
  <c r="I19" i="1"/>
  <c r="G19" i="1" s="1"/>
  <c r="L19" i="1" s="1"/>
  <c r="J18" i="1"/>
  <c r="G18" i="1" s="1"/>
  <c r="L18" i="1" s="1"/>
  <c r="I18" i="1"/>
  <c r="J17" i="1"/>
  <c r="G17" i="1" s="1"/>
  <c r="L17" i="1" s="1"/>
  <c r="I17" i="1"/>
  <c r="J16" i="1"/>
  <c r="I16" i="1"/>
  <c r="J15" i="1"/>
  <c r="I15" i="1"/>
  <c r="G15" i="1" s="1"/>
  <c r="L15" i="1" s="1"/>
  <c r="J14" i="1"/>
  <c r="G14" i="1" s="1"/>
  <c r="L14" i="1" s="1"/>
  <c r="I14" i="1"/>
  <c r="J13" i="1"/>
  <c r="I13" i="1"/>
  <c r="J12" i="1"/>
  <c r="I12" i="1"/>
  <c r="J11" i="1"/>
  <c r="I11" i="1"/>
  <c r="J10" i="1"/>
  <c r="G10" i="1" s="1"/>
  <c r="L10" i="1" s="1"/>
  <c r="I10" i="1"/>
  <c r="J9" i="1"/>
  <c r="G9" i="1" s="1"/>
  <c r="L9" i="1" s="1"/>
  <c r="I9" i="1"/>
  <c r="J8" i="1"/>
  <c r="I8" i="1"/>
  <c r="J7" i="1"/>
  <c r="I7" i="1"/>
  <c r="J6" i="1"/>
  <c r="I6" i="1"/>
  <c r="J5" i="1"/>
  <c r="G5" i="1" s="1"/>
  <c r="L5" i="1" s="1"/>
  <c r="I5" i="1"/>
  <c r="J4" i="1"/>
  <c r="I4" i="1"/>
  <c r="J3" i="1"/>
  <c r="G3" i="1" s="1"/>
  <c r="L3" i="1" s="1"/>
  <c r="I3" i="1"/>
  <c r="J2" i="1"/>
  <c r="I2" i="1"/>
  <c r="L23" i="1"/>
  <c r="J23" i="1"/>
  <c r="I23" i="1"/>
  <c r="G23" i="1" s="1"/>
  <c r="G6" i="1"/>
  <c r="L6" i="1" s="1"/>
  <c r="G7" i="1"/>
  <c r="L7" i="1" s="1"/>
  <c r="G8" i="1"/>
  <c r="L8" i="1" s="1"/>
  <c r="G11" i="1"/>
  <c r="L11" i="1" s="1"/>
  <c r="G20" i="1"/>
  <c r="L20" i="1" s="1"/>
  <c r="G21" i="1"/>
  <c r="L21" i="1" s="1"/>
  <c r="G28" i="1"/>
  <c r="L28" i="1" s="1"/>
  <c r="G31" i="1"/>
  <c r="L31" i="1" s="1"/>
  <c r="M2" i="1"/>
  <c r="D31" i="1"/>
  <c r="D30" i="1"/>
  <c r="D29" i="1"/>
  <c r="D27" i="1"/>
  <c r="D26" i="1"/>
  <c r="D25" i="1"/>
  <c r="D24" i="1"/>
  <c r="D23" i="1"/>
  <c r="D22" i="1"/>
  <c r="D21" i="1"/>
  <c r="D19" i="1"/>
  <c r="D18" i="1"/>
  <c r="D17" i="1"/>
  <c r="D12" i="1"/>
  <c r="D8" i="1"/>
  <c r="D7" i="1"/>
  <c r="D5" i="1"/>
  <c r="D4" i="1"/>
  <c r="D3" i="1"/>
  <c r="D2" i="1"/>
  <c r="D9" i="1"/>
  <c r="D20" i="1"/>
  <c r="D11" i="1"/>
  <c r="D10" i="1"/>
  <c r="D16" i="1"/>
  <c r="D13" i="1"/>
  <c r="D15" i="1"/>
  <c r="D28" i="1"/>
  <c r="D14" i="1"/>
  <c r="D6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H20" i="1" s="1"/>
  <c r="F21" i="1"/>
  <c r="H21" i="1" s="1"/>
  <c r="F22" i="1"/>
  <c r="F23" i="1"/>
  <c r="F24" i="1"/>
  <c r="F25" i="1"/>
  <c r="F26" i="1"/>
  <c r="F27" i="1"/>
  <c r="F28" i="1"/>
  <c r="F29" i="1"/>
  <c r="F30" i="1"/>
  <c r="F31" i="1"/>
  <c r="C30" i="1"/>
  <c r="C25" i="1"/>
  <c r="E25" i="1" s="1"/>
  <c r="C14" i="1"/>
  <c r="C13" i="1"/>
  <c r="C9" i="1"/>
  <c r="E9" i="1" s="1"/>
  <c r="C3" i="1"/>
  <c r="E3" i="1" s="1"/>
  <c r="C28" i="1"/>
  <c r="C26" i="1"/>
  <c r="C19" i="1"/>
  <c r="C20" i="1"/>
  <c r="E20" i="1" s="1"/>
  <c r="C15" i="1"/>
  <c r="E15" i="1" s="1"/>
  <c r="C21" i="1"/>
  <c r="C18" i="1"/>
  <c r="C31" i="1"/>
  <c r="C8" i="1"/>
  <c r="E8" i="1" s="1"/>
  <c r="C12" i="1"/>
  <c r="C5" i="1"/>
  <c r="E5" i="1" s="1"/>
  <c r="C11" i="1"/>
  <c r="C6" i="1"/>
  <c r="C22" i="1"/>
  <c r="C10" i="1"/>
  <c r="C27" i="1"/>
  <c r="E27" i="1" s="1"/>
  <c r="C16" i="1"/>
  <c r="C7" i="1"/>
  <c r="E7" i="1" s="1"/>
  <c r="C24" i="1"/>
  <c r="E24" i="1" s="1"/>
  <c r="C4" i="1"/>
  <c r="E4" i="1" s="1"/>
  <c r="C29" i="1"/>
  <c r="E29" i="1" s="1"/>
  <c r="C2" i="1"/>
  <c r="E2" i="1" s="1"/>
  <c r="C23" i="1"/>
  <c r="C17" i="1"/>
  <c r="M30" i="1"/>
  <c r="M28" i="1"/>
  <c r="M27" i="1"/>
  <c r="M26" i="1"/>
  <c r="M25" i="1"/>
  <c r="M21" i="1"/>
  <c r="M20" i="1"/>
  <c r="M19" i="1"/>
  <c r="M16" i="1"/>
  <c r="M15" i="1"/>
  <c r="M14" i="1"/>
  <c r="M13" i="1"/>
  <c r="M12" i="1"/>
  <c r="M11" i="1"/>
  <c r="M10" i="1"/>
  <c r="M9" i="1"/>
  <c r="M8" i="1"/>
  <c r="M6" i="1"/>
  <c r="M5" i="1"/>
  <c r="M3" i="1"/>
  <c r="M18" i="1"/>
  <c r="M7" i="1"/>
  <c r="M29" i="1"/>
  <c r="M22" i="1"/>
  <c r="M24" i="1"/>
  <c r="M31" i="1"/>
  <c r="M4" i="1"/>
  <c r="M17" i="1"/>
  <c r="M23" i="1"/>
  <c r="G29" i="1" l="1"/>
  <c r="L29" i="1" s="1"/>
  <c r="H28" i="1"/>
  <c r="G26" i="1"/>
  <c r="L26" i="1" s="1"/>
  <c r="G25" i="1"/>
  <c r="L25" i="1" s="1"/>
  <c r="H24" i="1"/>
  <c r="H17" i="1"/>
  <c r="G16" i="1"/>
  <c r="L16" i="1" s="1"/>
  <c r="H16" i="1"/>
  <c r="H15" i="1"/>
  <c r="G13" i="1"/>
  <c r="L13" i="1" s="1"/>
  <c r="G12" i="1"/>
  <c r="L12" i="1" s="1"/>
  <c r="H11" i="1"/>
  <c r="H9" i="1"/>
  <c r="H8" i="1"/>
  <c r="H7" i="1"/>
  <c r="H5" i="1"/>
  <c r="G4" i="1"/>
  <c r="L4" i="1" s="1"/>
  <c r="H3" i="1"/>
  <c r="L2" i="1"/>
  <c r="H31" i="1"/>
  <c r="H27" i="1"/>
  <c r="H23" i="1"/>
  <c r="H19" i="1"/>
  <c r="H30" i="1"/>
  <c r="H22" i="1"/>
  <c r="H18" i="1"/>
  <c r="H14" i="1"/>
  <c r="H10" i="1"/>
  <c r="H6" i="1"/>
  <c r="E23" i="1"/>
  <c r="E10" i="1"/>
  <c r="E18" i="1"/>
  <c r="E28" i="1"/>
  <c r="E22" i="1"/>
  <c r="E26" i="1"/>
  <c r="E16" i="1"/>
  <c r="E14" i="1"/>
  <c r="E17" i="1"/>
  <c r="E31" i="1"/>
  <c r="E12" i="1"/>
  <c r="E21" i="1"/>
  <c r="E13" i="1"/>
  <c r="E6" i="1"/>
  <c r="E11" i="1"/>
  <c r="E19" i="1"/>
  <c r="E30" i="1"/>
  <c r="H29" i="1" l="1"/>
  <c r="H26" i="1"/>
  <c r="H25" i="1"/>
  <c r="H13" i="1"/>
  <c r="H12" i="1"/>
  <c r="H4" i="1"/>
  <c r="H2" i="1"/>
</calcChain>
</file>

<file path=xl/sharedStrings.xml><?xml version="1.0" encoding="utf-8"?>
<sst xmlns="http://schemas.openxmlformats.org/spreadsheetml/2006/main" count="73" uniqueCount="73">
  <si>
    <t>team</t>
  </si>
  <si>
    <t>abrv</t>
  </si>
  <si>
    <t>rf</t>
  </si>
  <si>
    <t>ra</t>
  </si>
  <si>
    <t>h</t>
  </si>
  <si>
    <t>elo</t>
  </si>
  <si>
    <t>SD</t>
  </si>
  <si>
    <t>CHC</t>
  </si>
  <si>
    <t>LAD</t>
  </si>
  <si>
    <t>TEX</t>
  </si>
  <si>
    <t>COL</t>
  </si>
  <si>
    <t>MIN</t>
  </si>
  <si>
    <t>STL</t>
  </si>
  <si>
    <t>TOR</t>
  </si>
  <si>
    <t>NYM</t>
  </si>
  <si>
    <t>SF</t>
  </si>
  <si>
    <t>KC</t>
  </si>
  <si>
    <t>OAK</t>
  </si>
  <si>
    <t>CWS</t>
  </si>
  <si>
    <t>LAA</t>
  </si>
  <si>
    <t>ARI</t>
  </si>
  <si>
    <t>BAL</t>
  </si>
  <si>
    <t>CLE</t>
  </si>
  <si>
    <t>DET</t>
  </si>
  <si>
    <t>TB</t>
  </si>
  <si>
    <t>WSH</t>
  </si>
  <si>
    <t>NYY</t>
  </si>
  <si>
    <t>PHI</t>
  </si>
  <si>
    <t>MIL</t>
  </si>
  <si>
    <t>SEA</t>
  </si>
  <si>
    <t>PIT</t>
  </si>
  <si>
    <t>BOS</t>
  </si>
  <si>
    <t>MIA</t>
  </si>
  <si>
    <t>HOU</t>
  </si>
  <si>
    <t>CIN</t>
  </si>
  <si>
    <t>ATL</t>
  </si>
  <si>
    <t>San Diego Padres</t>
  </si>
  <si>
    <t>Chicago Cubs</t>
  </si>
  <si>
    <t>Los Angeles Dodgers</t>
  </si>
  <si>
    <t>Texas Rangers</t>
  </si>
  <si>
    <t>Colorado Rockies</t>
  </si>
  <si>
    <t>Minnesota Twins</t>
  </si>
  <si>
    <t>St. Louis Cardinals</t>
  </si>
  <si>
    <t>Toronto Blue Jays</t>
  </si>
  <si>
    <t>New York Mets</t>
  </si>
  <si>
    <t>San Francisco Giants</t>
  </si>
  <si>
    <t>Kansas City Royals</t>
  </si>
  <si>
    <t>Oakland Athletics</t>
  </si>
  <si>
    <t>Chicago White Sox</t>
  </si>
  <si>
    <t>Los Angeles Angels</t>
  </si>
  <si>
    <t>Arizona Diamondbacks</t>
  </si>
  <si>
    <t>Baltimore Orioles</t>
  </si>
  <si>
    <t>Cleveland Guardians</t>
  </si>
  <si>
    <t>Detroit Tigers</t>
  </si>
  <si>
    <t>Tampa Bay Rays</t>
  </si>
  <si>
    <t>Washington Nationals</t>
  </si>
  <si>
    <t>New York Yankees</t>
  </si>
  <si>
    <t>Philadelphia Phillies</t>
  </si>
  <si>
    <t>Milwaukee Brewers</t>
  </si>
  <si>
    <t>Seattle Mariners</t>
  </si>
  <si>
    <t>Pittsburgh Pirates</t>
  </si>
  <si>
    <t>Boston Red Sox</t>
  </si>
  <si>
    <t>Miami Marlins</t>
  </si>
  <si>
    <t>Houston Astros</t>
  </si>
  <si>
    <t>Cincinnati Reds</t>
  </si>
  <si>
    <t>Atlanta Braves</t>
  </si>
  <si>
    <t>rd</t>
  </si>
  <si>
    <t>gp</t>
  </si>
  <si>
    <t>prev_sc</t>
  </si>
  <si>
    <t>w</t>
  </si>
  <si>
    <t>l</t>
  </si>
  <si>
    <t>rpg</t>
  </si>
  <si>
    <t>hpg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</si>
</sst>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56468-EFB1-4B78-8719-6DBCAF5F131A}">
  <dimension ref="A1:M31"/>
  <sheetViews>
    <sheetView tabSelected="1" zoomScale="85" zoomScaleNormal="85" workbookViewId="0">
      <selection activeCell="A2" sqref="A2"/>
    </sheetView>
  </sheetViews>
  <sheetFormatPr defaultRowHeight="14.5" x14ac:dyDescent="0.35"/>
  <cols>
    <col min="1" max="1" width="20.08984375" bestFit="1" customWidth="1"/>
    <col min="3" max="4" width="8.7265625" style="6"/>
    <col min="6" max="6" width="8.7265625" style="6"/>
    <col min="7" max="8" width="8.7265625" style="1"/>
    <col min="9" max="9" width="8.7265625" style="2"/>
    <col min="10" max="10" width="8.7265625" style="3"/>
    <col min="11" max="11" width="8.7265625" style="4"/>
    <col min="12" max="12" width="8.7265625" style="1"/>
    <col min="13" max="13" width="8.7265625" style="5"/>
  </cols>
  <sheetData>
    <row r="1" spans="1:13" x14ac:dyDescent="0.35">
      <c r="A1" t="s">
        <v>0</v>
      </c>
      <c r="B1" t="s">
        <v>1</v>
      </c>
      <c r="C1" s="6" t="s">
        <v>2</v>
      </c>
      <c r="D1" s="6" t="s">
        <v>3</v>
      </c>
      <c r="E1" t="s">
        <v>66</v>
      </c>
      <c r="F1" s="6" t="s">
        <v>4</v>
      </c>
      <c r="G1" s="1" t="s">
        <v>67</v>
      </c>
      <c r="H1" s="1" t="s">
        <v>72</v>
      </c>
      <c r="I1" s="2" t="s">
        <v>69</v>
      </c>
      <c r="J1" s="3" t="s">
        <v>70</v>
      </c>
      <c r="K1" s="4" t="s">
        <v>68</v>
      </c>
      <c r="L1" s="1" t="s">
        <v>71</v>
      </c>
      <c r="M1" s="5" t="s">
        <v>5</v>
      </c>
    </row>
    <row r="2" spans="1:13" x14ac:dyDescent="0.35">
      <c r="A2" t="s">
        <v>36</v>
      </c>
      <c r="B2" t="s">
        <v>6</v>
      </c>
      <c r="C2" s="6">
        <f>440</f>
        <v>440</v>
      </c>
      <c r="D2" s="6">
        <f>422</f>
        <v>422</v>
      </c>
      <c r="E2">
        <f>C2-D2</f>
        <v>18</v>
      </c>
      <c r="F2" s="6">
        <f>844</f>
        <v>844</v>
      </c>
      <c r="G2" s="1">
        <f>I2+J2</f>
        <v>96</v>
      </c>
      <c r="H2" s="1">
        <f>F2/G2</f>
        <v>8.7916666666666661</v>
      </c>
      <c r="I2" s="2">
        <f>49</f>
        <v>49</v>
      </c>
      <c r="J2" s="3">
        <f>47</f>
        <v>47</v>
      </c>
      <c r="K2" s="4">
        <f>0</f>
        <v>0</v>
      </c>
      <c r="L2" s="1">
        <f>C2/G2</f>
        <v>4.583333333333333</v>
      </c>
      <c r="M2" s="5">
        <f>1527</f>
        <v>1527</v>
      </c>
    </row>
    <row r="3" spans="1:13" x14ac:dyDescent="0.35">
      <c r="A3" t="s">
        <v>37</v>
      </c>
      <c r="B3" t="s">
        <v>7</v>
      </c>
      <c r="C3" s="6">
        <f>383</f>
        <v>383</v>
      </c>
      <c r="D3" s="6">
        <f>400</f>
        <v>400</v>
      </c>
      <c r="E3">
        <f t="shared" ref="E3:E31" si="0">C3-D3</f>
        <v>-17</v>
      </c>
      <c r="F3" s="6">
        <f>701</f>
        <v>701</v>
      </c>
      <c r="G3" s="1">
        <f t="shared" ref="G3:G31" si="1">I3+J3</f>
        <v>93</v>
      </c>
      <c r="H3" s="1">
        <f t="shared" ref="H3:H31" si="2">F3/G3</f>
        <v>7.5376344086021509</v>
      </c>
      <c r="I3" s="2">
        <f>44</f>
        <v>44</v>
      </c>
      <c r="J3" s="3">
        <f>49</f>
        <v>49</v>
      </c>
      <c r="K3" s="4">
        <f>4</f>
        <v>4</v>
      </c>
      <c r="L3" s="1">
        <f t="shared" ref="L3:L31" si="3">C3/G3</f>
        <v>4.118279569892473</v>
      </c>
      <c r="M3" s="5">
        <f>1496</f>
        <v>1496</v>
      </c>
    </row>
    <row r="4" spans="1:13" x14ac:dyDescent="0.35">
      <c r="A4" t="s">
        <v>38</v>
      </c>
      <c r="B4" t="s">
        <v>8</v>
      </c>
      <c r="C4" s="6">
        <f>459</f>
        <v>459</v>
      </c>
      <c r="D4" s="6">
        <f>364</f>
        <v>364</v>
      </c>
      <c r="E4">
        <f t="shared" si="0"/>
        <v>95</v>
      </c>
      <c r="F4" s="6">
        <f>800</f>
        <v>800</v>
      </c>
      <c r="G4" s="1">
        <f t="shared" si="1"/>
        <v>93</v>
      </c>
      <c r="H4" s="1">
        <f t="shared" si="2"/>
        <v>8.6021505376344081</v>
      </c>
      <c r="I4" s="2">
        <f>55</f>
        <v>55</v>
      </c>
      <c r="J4" s="3">
        <f>38</f>
        <v>38</v>
      </c>
      <c r="K4" s="4">
        <f>3</f>
        <v>3</v>
      </c>
      <c r="L4" s="1">
        <f t="shared" si="3"/>
        <v>4.935483870967742</v>
      </c>
      <c r="M4" s="5">
        <f>1555</f>
        <v>1555</v>
      </c>
    </row>
    <row r="5" spans="1:13" x14ac:dyDescent="0.35">
      <c r="A5" t="s">
        <v>39</v>
      </c>
      <c r="B5" t="s">
        <v>9</v>
      </c>
      <c r="C5" s="6">
        <f>403</f>
        <v>403</v>
      </c>
      <c r="D5" s="6">
        <f>389</f>
        <v>389</v>
      </c>
      <c r="E5">
        <f t="shared" si="0"/>
        <v>14</v>
      </c>
      <c r="F5" s="6">
        <f>757</f>
        <v>757</v>
      </c>
      <c r="G5" s="1">
        <f t="shared" si="1"/>
        <v>93</v>
      </c>
      <c r="H5" s="1">
        <f t="shared" si="2"/>
        <v>8.1397849462365599</v>
      </c>
      <c r="I5" s="2">
        <f>44</f>
        <v>44</v>
      </c>
      <c r="J5" s="3">
        <f>49</f>
        <v>49</v>
      </c>
      <c r="K5" s="4">
        <f>2</f>
        <v>2</v>
      </c>
      <c r="L5" s="1">
        <f t="shared" si="3"/>
        <v>4.333333333333333</v>
      </c>
      <c r="M5" s="5">
        <f>1524</f>
        <v>1524</v>
      </c>
    </row>
    <row r="6" spans="1:13" x14ac:dyDescent="0.35">
      <c r="A6" t="s">
        <v>40</v>
      </c>
      <c r="B6" t="s">
        <v>10</v>
      </c>
      <c r="C6" s="6">
        <f>379</f>
        <v>379</v>
      </c>
      <c r="D6" s="6">
        <f>540</f>
        <v>540</v>
      </c>
      <c r="E6">
        <f t="shared" si="0"/>
        <v>-161</v>
      </c>
      <c r="F6" s="6">
        <f>760</f>
        <v>760</v>
      </c>
      <c r="G6" s="1">
        <f t="shared" si="1"/>
        <v>93</v>
      </c>
      <c r="H6" s="1">
        <f t="shared" si="2"/>
        <v>8.172043010752688</v>
      </c>
      <c r="I6" s="2">
        <f>33</f>
        <v>33</v>
      </c>
      <c r="J6" s="3">
        <f>60</f>
        <v>60</v>
      </c>
      <c r="K6" s="4">
        <f>6</f>
        <v>6</v>
      </c>
      <c r="L6" s="1">
        <f t="shared" si="3"/>
        <v>4.075268817204301</v>
      </c>
      <c r="M6" s="5">
        <f>1424</f>
        <v>1424</v>
      </c>
    </row>
    <row r="7" spans="1:13" x14ac:dyDescent="0.35">
      <c r="A7" t="s">
        <v>41</v>
      </c>
      <c r="B7" t="s">
        <v>11</v>
      </c>
      <c r="C7" s="6">
        <f>455</f>
        <v>455</v>
      </c>
      <c r="D7" s="6">
        <f>402</f>
        <v>402</v>
      </c>
      <c r="E7">
        <f t="shared" si="0"/>
        <v>53</v>
      </c>
      <c r="F7" s="6">
        <f>793</f>
        <v>793</v>
      </c>
      <c r="G7" s="1">
        <f t="shared" si="1"/>
        <v>93</v>
      </c>
      <c r="H7" s="1">
        <f t="shared" si="2"/>
        <v>8.5268817204301079</v>
      </c>
      <c r="I7" s="2">
        <f>53</f>
        <v>53</v>
      </c>
      <c r="J7" s="3">
        <f>40</f>
        <v>40</v>
      </c>
      <c r="K7" s="4">
        <f>1</f>
        <v>1</v>
      </c>
      <c r="L7" s="1">
        <f t="shared" si="3"/>
        <v>4.89247311827957</v>
      </c>
      <c r="M7" s="5">
        <f>1536</f>
        <v>1536</v>
      </c>
    </row>
    <row r="8" spans="1:13" x14ac:dyDescent="0.35">
      <c r="A8" t="s">
        <v>42</v>
      </c>
      <c r="B8" t="s">
        <v>12</v>
      </c>
      <c r="C8" s="6">
        <f>369</f>
        <v>369</v>
      </c>
      <c r="D8" s="6">
        <f>402</f>
        <v>402</v>
      </c>
      <c r="E8">
        <f t="shared" si="0"/>
        <v>-33</v>
      </c>
      <c r="F8" s="6">
        <f>745</f>
        <v>745</v>
      </c>
      <c r="G8" s="1">
        <f t="shared" si="1"/>
        <v>92</v>
      </c>
      <c r="H8" s="1">
        <f t="shared" si="2"/>
        <v>8.0978260869565215</v>
      </c>
      <c r="I8" s="2">
        <f>48</f>
        <v>48</v>
      </c>
      <c r="J8" s="3">
        <f>44</f>
        <v>44</v>
      </c>
      <c r="K8" s="4">
        <f>5</f>
        <v>5</v>
      </c>
      <c r="L8" s="1">
        <f t="shared" si="3"/>
        <v>4.0108695652173916</v>
      </c>
      <c r="M8" s="5">
        <f>1494</f>
        <v>1494</v>
      </c>
    </row>
    <row r="9" spans="1:13" x14ac:dyDescent="0.35">
      <c r="A9" t="s">
        <v>43</v>
      </c>
      <c r="B9" t="s">
        <v>13</v>
      </c>
      <c r="C9" s="6">
        <f>362</f>
        <v>362</v>
      </c>
      <c r="D9" s="6">
        <f>423</f>
        <v>423</v>
      </c>
      <c r="E9">
        <f t="shared" si="0"/>
        <v>-61</v>
      </c>
      <c r="F9" s="6">
        <f>697</f>
        <v>697</v>
      </c>
      <c r="G9" s="1">
        <f t="shared" si="1"/>
        <v>92</v>
      </c>
      <c r="H9" s="1">
        <f t="shared" si="2"/>
        <v>7.5760869565217392</v>
      </c>
      <c r="I9" s="2">
        <f>42</f>
        <v>42</v>
      </c>
      <c r="J9" s="3">
        <f>50</f>
        <v>50</v>
      </c>
      <c r="K9" s="4">
        <f>10</f>
        <v>10</v>
      </c>
      <c r="L9" s="1">
        <f t="shared" si="3"/>
        <v>3.9347826086956523</v>
      </c>
      <c r="M9" s="5">
        <f>1495</f>
        <v>1495</v>
      </c>
    </row>
    <row r="10" spans="1:13" x14ac:dyDescent="0.35">
      <c r="A10" t="s">
        <v>44</v>
      </c>
      <c r="B10" t="s">
        <v>14</v>
      </c>
      <c r="C10" s="6">
        <f>433</f>
        <v>433</v>
      </c>
      <c r="D10" s="6">
        <f>433</f>
        <v>433</v>
      </c>
      <c r="E10">
        <f t="shared" si="0"/>
        <v>0</v>
      </c>
      <c r="F10" s="6">
        <f>770</f>
        <v>770</v>
      </c>
      <c r="G10" s="1">
        <f t="shared" si="1"/>
        <v>91</v>
      </c>
      <c r="H10" s="1">
        <f t="shared" si="2"/>
        <v>8.4615384615384617</v>
      </c>
      <c r="I10" s="2">
        <f>46</f>
        <v>46</v>
      </c>
      <c r="J10" s="3">
        <f>45</f>
        <v>45</v>
      </c>
      <c r="K10" s="4">
        <f>6</f>
        <v>6</v>
      </c>
      <c r="L10" s="1">
        <f t="shared" si="3"/>
        <v>4.7582417582417582</v>
      </c>
      <c r="M10" s="5">
        <f>1510</f>
        <v>1510</v>
      </c>
    </row>
    <row r="11" spans="1:13" x14ac:dyDescent="0.35">
      <c r="A11" t="s">
        <v>45</v>
      </c>
      <c r="B11" t="s">
        <v>15</v>
      </c>
      <c r="C11" s="6">
        <f>406</f>
        <v>406</v>
      </c>
      <c r="D11" s="6">
        <f>432</f>
        <v>432</v>
      </c>
      <c r="E11">
        <f t="shared" si="0"/>
        <v>-26</v>
      </c>
      <c r="F11" s="6">
        <f>760</f>
        <v>760</v>
      </c>
      <c r="G11" s="1">
        <f t="shared" si="1"/>
        <v>93</v>
      </c>
      <c r="H11" s="1">
        <f t="shared" si="2"/>
        <v>8.172043010752688</v>
      </c>
      <c r="I11" s="2">
        <f>45</f>
        <v>45</v>
      </c>
      <c r="J11" s="3">
        <f>48</f>
        <v>48</v>
      </c>
      <c r="K11" s="4">
        <f>6</f>
        <v>6</v>
      </c>
      <c r="L11" s="1">
        <f t="shared" si="3"/>
        <v>4.365591397849462</v>
      </c>
      <c r="M11" s="5">
        <f>1497</f>
        <v>1497</v>
      </c>
    </row>
    <row r="12" spans="1:13" x14ac:dyDescent="0.35">
      <c r="A12" t="s">
        <v>46</v>
      </c>
      <c r="B12" t="s">
        <v>16</v>
      </c>
      <c r="C12" s="6">
        <f>418</f>
        <v>418</v>
      </c>
      <c r="D12" s="6">
        <f>362</f>
        <v>362</v>
      </c>
      <c r="E12">
        <f t="shared" si="0"/>
        <v>56</v>
      </c>
      <c r="F12" s="6">
        <f>750</f>
        <v>750</v>
      </c>
      <c r="G12" s="1">
        <f t="shared" si="1"/>
        <v>94</v>
      </c>
      <c r="H12" s="1">
        <f t="shared" si="2"/>
        <v>7.9787234042553195</v>
      </c>
      <c r="I12" s="2">
        <f>51</f>
        <v>51</v>
      </c>
      <c r="J12" s="3">
        <f>43</f>
        <v>43</v>
      </c>
      <c r="K12" s="4">
        <f>8</f>
        <v>8</v>
      </c>
      <c r="L12" s="1">
        <f t="shared" si="3"/>
        <v>4.4468085106382977</v>
      </c>
      <c r="M12" s="5">
        <f>1497</f>
        <v>1497</v>
      </c>
    </row>
    <row r="13" spans="1:13" x14ac:dyDescent="0.35">
      <c r="A13" t="s">
        <v>47</v>
      </c>
      <c r="B13" t="s">
        <v>17</v>
      </c>
      <c r="C13" s="6">
        <f>356</f>
        <v>356</v>
      </c>
      <c r="D13" s="6">
        <f>448</f>
        <v>448</v>
      </c>
      <c r="E13">
        <f t="shared" si="0"/>
        <v>-92</v>
      </c>
      <c r="F13" s="6">
        <f>695</f>
        <v>695</v>
      </c>
      <c r="G13" s="1">
        <f t="shared" si="1"/>
        <v>94</v>
      </c>
      <c r="H13" s="1">
        <f t="shared" si="2"/>
        <v>7.3936170212765955</v>
      </c>
      <c r="I13" s="2">
        <f>35</f>
        <v>35</v>
      </c>
      <c r="J13" s="3">
        <f>59</f>
        <v>59</v>
      </c>
      <c r="K13" s="4">
        <f>5</f>
        <v>5</v>
      </c>
      <c r="L13" s="1">
        <f t="shared" si="3"/>
        <v>3.7872340425531914</v>
      </c>
      <c r="M13" s="5">
        <f>1437</f>
        <v>1437</v>
      </c>
    </row>
    <row r="14" spans="1:13" x14ac:dyDescent="0.35">
      <c r="A14" t="s">
        <v>48</v>
      </c>
      <c r="B14" t="s">
        <v>18</v>
      </c>
      <c r="C14" s="6">
        <f>301</f>
        <v>301</v>
      </c>
      <c r="D14" s="6">
        <f>467</f>
        <v>467</v>
      </c>
      <c r="E14">
        <f t="shared" si="0"/>
        <v>-166</v>
      </c>
      <c r="F14" s="6">
        <f>682</f>
        <v>682</v>
      </c>
      <c r="G14" s="1">
        <f t="shared" si="1"/>
        <v>95</v>
      </c>
      <c r="H14" s="1">
        <f t="shared" si="2"/>
        <v>7.1789473684210527</v>
      </c>
      <c r="I14" s="2">
        <f>27</f>
        <v>27</v>
      </c>
      <c r="J14" s="3">
        <f>68</f>
        <v>68</v>
      </c>
      <c r="K14" s="4">
        <f>3</f>
        <v>3</v>
      </c>
      <c r="L14" s="1">
        <f t="shared" si="3"/>
        <v>3.168421052631579</v>
      </c>
      <c r="M14" s="5">
        <f>1417</f>
        <v>1417</v>
      </c>
    </row>
    <row r="15" spans="1:13" x14ac:dyDescent="0.35">
      <c r="A15" t="s">
        <v>49</v>
      </c>
      <c r="B15" t="s">
        <v>19</v>
      </c>
      <c r="C15" s="6">
        <f>367</f>
        <v>367</v>
      </c>
      <c r="D15" s="6">
        <f>451</f>
        <v>451</v>
      </c>
      <c r="E15">
        <f t="shared" si="0"/>
        <v>-84</v>
      </c>
      <c r="F15" s="6">
        <f>714</f>
        <v>714</v>
      </c>
      <c r="G15" s="1">
        <f t="shared" si="1"/>
        <v>92</v>
      </c>
      <c r="H15" s="1">
        <f t="shared" si="2"/>
        <v>7.7608695652173916</v>
      </c>
      <c r="I15" s="2">
        <f>38</f>
        <v>38</v>
      </c>
      <c r="J15" s="3">
        <f>54</f>
        <v>54</v>
      </c>
      <c r="K15" s="4">
        <f>7</f>
        <v>7</v>
      </c>
      <c r="L15" s="1">
        <f t="shared" si="3"/>
        <v>3.9891304347826089</v>
      </c>
      <c r="M15" s="5">
        <f>1460</f>
        <v>1460</v>
      </c>
    </row>
    <row r="16" spans="1:13" x14ac:dyDescent="0.35">
      <c r="A16" t="s">
        <v>50</v>
      </c>
      <c r="B16" t="s">
        <v>20</v>
      </c>
      <c r="C16" s="6">
        <f>450</f>
        <v>450</v>
      </c>
      <c r="D16" s="6">
        <f>447</f>
        <v>447</v>
      </c>
      <c r="E16">
        <f t="shared" si="0"/>
        <v>3</v>
      </c>
      <c r="F16" s="6">
        <f>788</f>
        <v>788</v>
      </c>
      <c r="G16" s="1">
        <f t="shared" si="1"/>
        <v>93</v>
      </c>
      <c r="H16" s="1">
        <f t="shared" si="2"/>
        <v>8.4731182795698921</v>
      </c>
      <c r="I16" s="2">
        <f>46</f>
        <v>46</v>
      </c>
      <c r="J16" s="3">
        <f>47</f>
        <v>47</v>
      </c>
      <c r="K16" s="4">
        <f>7</f>
        <v>7</v>
      </c>
      <c r="L16" s="1">
        <f t="shared" si="3"/>
        <v>4.838709677419355</v>
      </c>
      <c r="M16" s="5">
        <f>1510</f>
        <v>1510</v>
      </c>
    </row>
    <row r="17" spans="1:13" x14ac:dyDescent="0.35">
      <c r="A17" t="s">
        <v>51</v>
      </c>
      <c r="B17" t="s">
        <v>21</v>
      </c>
      <c r="C17" s="6">
        <f>466</f>
        <v>466</v>
      </c>
      <c r="D17" s="6">
        <f>367</f>
        <v>367</v>
      </c>
      <c r="E17">
        <f t="shared" si="0"/>
        <v>99</v>
      </c>
      <c r="F17" s="6">
        <f>802</f>
        <v>802</v>
      </c>
      <c r="G17" s="1">
        <f t="shared" si="1"/>
        <v>92</v>
      </c>
      <c r="H17" s="1">
        <f t="shared" si="2"/>
        <v>8.7173913043478262</v>
      </c>
      <c r="I17" s="2">
        <f>57</f>
        <v>57</v>
      </c>
      <c r="J17" s="3">
        <f>35</f>
        <v>35</v>
      </c>
      <c r="K17" s="4">
        <f>0</f>
        <v>0</v>
      </c>
      <c r="L17" s="1">
        <f t="shared" si="3"/>
        <v>5.0652173913043477</v>
      </c>
      <c r="M17" s="5">
        <f>1559</f>
        <v>1559</v>
      </c>
    </row>
    <row r="18" spans="1:13" x14ac:dyDescent="0.35">
      <c r="A18" t="s">
        <v>52</v>
      </c>
      <c r="B18" t="s">
        <v>22</v>
      </c>
      <c r="C18" s="6">
        <f>445</f>
        <v>445</v>
      </c>
      <c r="D18" s="6">
        <f>348</f>
        <v>348</v>
      </c>
      <c r="E18">
        <f t="shared" si="0"/>
        <v>97</v>
      </c>
      <c r="F18" s="6">
        <f>736</f>
        <v>736</v>
      </c>
      <c r="G18" s="1">
        <f t="shared" si="1"/>
        <v>91</v>
      </c>
      <c r="H18" s="1">
        <f t="shared" si="2"/>
        <v>8.0879120879120876</v>
      </c>
      <c r="I18" s="2">
        <f>57</f>
        <v>57</v>
      </c>
      <c r="J18" s="3">
        <f>34</f>
        <v>34</v>
      </c>
      <c r="K18" s="4">
        <f>4</f>
        <v>4</v>
      </c>
      <c r="L18" s="1">
        <f t="shared" si="3"/>
        <v>4.8901098901098905</v>
      </c>
      <c r="M18" s="5">
        <f>1533</f>
        <v>1533</v>
      </c>
    </row>
    <row r="19" spans="1:13" x14ac:dyDescent="0.35">
      <c r="A19" t="s">
        <v>53</v>
      </c>
      <c r="B19" t="s">
        <v>23</v>
      </c>
      <c r="C19" s="6">
        <f>380</f>
        <v>380</v>
      </c>
      <c r="D19" s="6">
        <f>399</f>
        <v>399</v>
      </c>
      <c r="E19">
        <f t="shared" si="0"/>
        <v>-19</v>
      </c>
      <c r="F19" s="6">
        <f>712</f>
        <v>712</v>
      </c>
      <c r="G19" s="1">
        <f t="shared" si="1"/>
        <v>93</v>
      </c>
      <c r="H19" s="1">
        <f t="shared" si="2"/>
        <v>7.655913978494624</v>
      </c>
      <c r="I19" s="2">
        <f>44</f>
        <v>44</v>
      </c>
      <c r="J19" s="3">
        <f>49</f>
        <v>49</v>
      </c>
      <c r="K19" s="4">
        <f>5</f>
        <v>5</v>
      </c>
      <c r="L19" s="1">
        <f t="shared" si="3"/>
        <v>4.086021505376344</v>
      </c>
      <c r="M19" s="5">
        <f>1489</f>
        <v>1489</v>
      </c>
    </row>
    <row r="20" spans="1:13" x14ac:dyDescent="0.35">
      <c r="A20" t="s">
        <v>54</v>
      </c>
      <c r="B20" t="s">
        <v>24</v>
      </c>
      <c r="C20" s="6">
        <f>364</f>
        <v>364</v>
      </c>
      <c r="D20" s="6">
        <f>429</f>
        <v>429</v>
      </c>
      <c r="E20">
        <f t="shared" si="0"/>
        <v>-65</v>
      </c>
      <c r="F20" s="6">
        <f>713</f>
        <v>713</v>
      </c>
      <c r="G20" s="1">
        <f t="shared" si="1"/>
        <v>92</v>
      </c>
      <c r="H20" s="1">
        <f t="shared" si="2"/>
        <v>7.75</v>
      </c>
      <c r="I20" s="2">
        <f>45</f>
        <v>45</v>
      </c>
      <c r="J20" s="3">
        <f>47</f>
        <v>47</v>
      </c>
      <c r="K20" s="4">
        <f>1</f>
        <v>1</v>
      </c>
      <c r="L20" s="1">
        <f t="shared" si="3"/>
        <v>3.9565217391304346</v>
      </c>
      <c r="M20" s="5">
        <f>1500</f>
        <v>1500</v>
      </c>
    </row>
    <row r="21" spans="1:13" x14ac:dyDescent="0.35">
      <c r="A21" t="s">
        <v>55</v>
      </c>
      <c r="B21" t="s">
        <v>25</v>
      </c>
      <c r="C21" s="6">
        <f>386</f>
        <v>386</v>
      </c>
      <c r="D21" s="6">
        <f>411</f>
        <v>411</v>
      </c>
      <c r="E21">
        <f t="shared" si="0"/>
        <v>-25</v>
      </c>
      <c r="F21" s="6">
        <f>726</f>
        <v>726</v>
      </c>
      <c r="G21" s="1">
        <f t="shared" si="1"/>
        <v>93</v>
      </c>
      <c r="H21" s="1">
        <f t="shared" si="2"/>
        <v>7.806451612903226</v>
      </c>
      <c r="I21" s="2">
        <f>42</f>
        <v>42</v>
      </c>
      <c r="J21" s="3">
        <f>51</f>
        <v>51</v>
      </c>
      <c r="K21" s="4">
        <f>2</f>
        <v>2</v>
      </c>
      <c r="L21" s="1">
        <f t="shared" si="3"/>
        <v>4.150537634408602</v>
      </c>
      <c r="M21" s="5">
        <f>1478</f>
        <v>1478</v>
      </c>
    </row>
    <row r="22" spans="1:13" x14ac:dyDescent="0.35">
      <c r="A22" t="s">
        <v>56</v>
      </c>
      <c r="B22" t="s">
        <v>26</v>
      </c>
      <c r="C22" s="6">
        <f>467</f>
        <v>467</v>
      </c>
      <c r="D22" s="6">
        <f>368</f>
        <v>368</v>
      </c>
      <c r="E22">
        <f t="shared" si="0"/>
        <v>99</v>
      </c>
      <c r="F22" s="6">
        <f>768</f>
        <v>768</v>
      </c>
      <c r="G22" s="1">
        <f t="shared" si="1"/>
        <v>94</v>
      </c>
      <c r="H22" s="1">
        <f t="shared" si="2"/>
        <v>8.1702127659574462</v>
      </c>
      <c r="I22" s="2">
        <f>56</f>
        <v>56</v>
      </c>
      <c r="J22" s="3">
        <f>38</f>
        <v>38</v>
      </c>
      <c r="K22" s="4">
        <f>2</f>
        <v>2</v>
      </c>
      <c r="L22" s="1">
        <f t="shared" si="3"/>
        <v>4.9680851063829783</v>
      </c>
      <c r="M22" s="5">
        <f>1542</f>
        <v>1542</v>
      </c>
    </row>
    <row r="23" spans="1:13" x14ac:dyDescent="0.35">
      <c r="A23" t="s">
        <v>57</v>
      </c>
      <c r="B23" t="s">
        <v>27</v>
      </c>
      <c r="C23" s="6">
        <f>452</f>
        <v>452</v>
      </c>
      <c r="D23" s="6">
        <f>334</f>
        <v>334</v>
      </c>
      <c r="E23">
        <f t="shared" si="0"/>
        <v>118</v>
      </c>
      <c r="F23" s="6">
        <f>807</f>
        <v>807</v>
      </c>
      <c r="G23" s="1">
        <f t="shared" si="1"/>
        <v>92</v>
      </c>
      <c r="H23" s="1">
        <f t="shared" si="2"/>
        <v>8.7717391304347831</v>
      </c>
      <c r="I23" s="2">
        <f>60</f>
        <v>60</v>
      </c>
      <c r="J23" s="3">
        <f>32</f>
        <v>32</v>
      </c>
      <c r="K23" s="4">
        <f>4</f>
        <v>4</v>
      </c>
      <c r="L23" s="1">
        <f t="shared" si="3"/>
        <v>4.9130434782608692</v>
      </c>
      <c r="M23" s="5">
        <f>1563</f>
        <v>1563</v>
      </c>
    </row>
    <row r="24" spans="1:13" x14ac:dyDescent="0.35">
      <c r="A24" t="s">
        <v>58</v>
      </c>
      <c r="B24" t="s">
        <v>28</v>
      </c>
      <c r="C24" s="6">
        <f>441</f>
        <v>441</v>
      </c>
      <c r="D24" s="6">
        <f>372</f>
        <v>372</v>
      </c>
      <c r="E24">
        <f t="shared" si="0"/>
        <v>69</v>
      </c>
      <c r="F24" s="6">
        <f>800</f>
        <v>800</v>
      </c>
      <c r="G24" s="1">
        <f t="shared" si="1"/>
        <v>93</v>
      </c>
      <c r="H24" s="1">
        <f t="shared" si="2"/>
        <v>8.6021505376344081</v>
      </c>
      <c r="I24" s="2">
        <f>54</f>
        <v>54</v>
      </c>
      <c r="J24" s="3">
        <f>39</f>
        <v>39</v>
      </c>
      <c r="K24" s="4">
        <f>9</f>
        <v>9</v>
      </c>
      <c r="L24" s="1">
        <f t="shared" si="3"/>
        <v>4.741935483870968</v>
      </c>
      <c r="M24" s="5">
        <f>1546</f>
        <v>1546</v>
      </c>
    </row>
    <row r="25" spans="1:13" x14ac:dyDescent="0.35">
      <c r="A25" t="s">
        <v>59</v>
      </c>
      <c r="B25" t="s">
        <v>29</v>
      </c>
      <c r="C25" s="6">
        <f>358</f>
        <v>358</v>
      </c>
      <c r="D25" s="6">
        <f>349</f>
        <v>349</v>
      </c>
      <c r="E25">
        <f t="shared" si="0"/>
        <v>9</v>
      </c>
      <c r="F25" s="6">
        <f>662</f>
        <v>662</v>
      </c>
      <c r="G25" s="1">
        <f t="shared" si="1"/>
        <v>94</v>
      </c>
      <c r="H25" s="1">
        <f t="shared" si="2"/>
        <v>7.042553191489362</v>
      </c>
      <c r="I25" s="2">
        <f>51</f>
        <v>51</v>
      </c>
      <c r="J25" s="3">
        <f>43</f>
        <v>43</v>
      </c>
      <c r="K25" s="4">
        <f>2</f>
        <v>2</v>
      </c>
      <c r="L25" s="1">
        <f t="shared" si="3"/>
        <v>3.8085106382978724</v>
      </c>
      <c r="M25" s="5">
        <f>1520</f>
        <v>1520</v>
      </c>
    </row>
    <row r="26" spans="1:13" x14ac:dyDescent="0.35">
      <c r="A26" t="s">
        <v>60</v>
      </c>
      <c r="B26" t="s">
        <v>30</v>
      </c>
      <c r="C26" s="6">
        <f>382</f>
        <v>382</v>
      </c>
      <c r="D26" s="6">
        <f>395</f>
        <v>395</v>
      </c>
      <c r="E26">
        <f t="shared" si="0"/>
        <v>-13</v>
      </c>
      <c r="F26" s="6">
        <f>712</f>
        <v>712</v>
      </c>
      <c r="G26" s="1">
        <f t="shared" si="1"/>
        <v>92</v>
      </c>
      <c r="H26" s="1">
        <f t="shared" si="2"/>
        <v>7.7391304347826084</v>
      </c>
      <c r="I26" s="2">
        <f>44</f>
        <v>44</v>
      </c>
      <c r="J26" s="3">
        <f>48</f>
        <v>48</v>
      </c>
      <c r="K26" s="4">
        <f>0</f>
        <v>0</v>
      </c>
      <c r="L26" s="1">
        <f t="shared" si="3"/>
        <v>4.1521739130434785</v>
      </c>
      <c r="M26" s="5">
        <f>1484</f>
        <v>1484</v>
      </c>
    </row>
    <row r="27" spans="1:13" x14ac:dyDescent="0.35">
      <c r="A27" t="s">
        <v>61</v>
      </c>
      <c r="B27" t="s">
        <v>31</v>
      </c>
      <c r="C27" s="6">
        <f>426</f>
        <v>426</v>
      </c>
      <c r="D27" s="6">
        <f>387</f>
        <v>387</v>
      </c>
      <c r="E27">
        <f t="shared" si="0"/>
        <v>39</v>
      </c>
      <c r="F27" s="6">
        <f>785</f>
        <v>785</v>
      </c>
      <c r="G27" s="1">
        <f t="shared" si="1"/>
        <v>91</v>
      </c>
      <c r="H27" s="1">
        <f t="shared" si="2"/>
        <v>8.6263736263736259</v>
      </c>
      <c r="I27" s="2">
        <f>50</f>
        <v>50</v>
      </c>
      <c r="J27" s="3">
        <f>41</f>
        <v>41</v>
      </c>
      <c r="K27" s="4">
        <f>2</f>
        <v>2</v>
      </c>
      <c r="L27" s="1">
        <f t="shared" si="3"/>
        <v>4.6813186813186816</v>
      </c>
      <c r="M27" s="5">
        <f>1520</f>
        <v>1520</v>
      </c>
    </row>
    <row r="28" spans="1:13" x14ac:dyDescent="0.35">
      <c r="A28" t="s">
        <v>62</v>
      </c>
      <c r="B28" t="s">
        <v>32</v>
      </c>
      <c r="C28" s="6">
        <f>319</f>
        <v>319</v>
      </c>
      <c r="D28" s="6">
        <f>454</f>
        <v>454</v>
      </c>
      <c r="E28">
        <f t="shared" si="0"/>
        <v>-135</v>
      </c>
      <c r="F28" s="6">
        <f>708</f>
        <v>708</v>
      </c>
      <c r="G28" s="1">
        <f t="shared" si="1"/>
        <v>92</v>
      </c>
      <c r="H28" s="1">
        <f t="shared" si="2"/>
        <v>7.6956521739130439</v>
      </c>
      <c r="I28" s="2">
        <f>32</f>
        <v>32</v>
      </c>
      <c r="J28" s="3">
        <f>60</f>
        <v>60</v>
      </c>
      <c r="K28" s="4">
        <f>1</f>
        <v>1</v>
      </c>
      <c r="L28" s="1">
        <f t="shared" si="3"/>
        <v>3.4673913043478262</v>
      </c>
      <c r="M28" s="5">
        <f>1449</f>
        <v>1449</v>
      </c>
    </row>
    <row r="29" spans="1:13" x14ac:dyDescent="0.35">
      <c r="A29" t="s">
        <v>63</v>
      </c>
      <c r="B29" t="s">
        <v>33</v>
      </c>
      <c r="C29" s="6">
        <f>433</f>
        <v>433</v>
      </c>
      <c r="D29" s="6">
        <f>395</f>
        <v>395</v>
      </c>
      <c r="E29">
        <f t="shared" si="0"/>
        <v>38</v>
      </c>
      <c r="F29" s="6">
        <f>824</f>
        <v>824</v>
      </c>
      <c r="G29" s="1">
        <f t="shared" si="1"/>
        <v>92</v>
      </c>
      <c r="H29" s="1">
        <f t="shared" si="2"/>
        <v>8.9565217391304355</v>
      </c>
      <c r="I29" s="2">
        <f>48</f>
        <v>48</v>
      </c>
      <c r="J29" s="3">
        <f>44</f>
        <v>44</v>
      </c>
      <c r="K29" s="4">
        <f>9</f>
        <v>9</v>
      </c>
      <c r="L29" s="1">
        <f t="shared" si="3"/>
        <v>4.7065217391304346</v>
      </c>
      <c r="M29" s="5">
        <f>1538</f>
        <v>1538</v>
      </c>
    </row>
    <row r="30" spans="1:13" x14ac:dyDescent="0.35">
      <c r="A30" t="s">
        <v>64</v>
      </c>
      <c r="B30" t="s">
        <v>34</v>
      </c>
      <c r="C30" s="6">
        <f>400</f>
        <v>400</v>
      </c>
      <c r="D30" s="6">
        <f>374</f>
        <v>374</v>
      </c>
      <c r="E30">
        <f t="shared" si="0"/>
        <v>26</v>
      </c>
      <c r="F30" s="6">
        <f>681</f>
        <v>681</v>
      </c>
      <c r="G30" s="1">
        <f t="shared" si="1"/>
        <v>93</v>
      </c>
      <c r="H30" s="1">
        <f t="shared" si="2"/>
        <v>7.32258064516129</v>
      </c>
      <c r="I30" s="2">
        <f>44</f>
        <v>44</v>
      </c>
      <c r="J30" s="3">
        <f>49</f>
        <v>49</v>
      </c>
      <c r="K30" s="4">
        <f>5</f>
        <v>5</v>
      </c>
      <c r="L30" s="1">
        <f t="shared" si="3"/>
        <v>4.301075268817204</v>
      </c>
      <c r="M30" s="5">
        <f>1501</f>
        <v>1501</v>
      </c>
    </row>
    <row r="31" spans="1:13" x14ac:dyDescent="0.35">
      <c r="A31" t="s">
        <v>65</v>
      </c>
      <c r="B31" t="s">
        <v>35</v>
      </c>
      <c r="C31" s="6">
        <f>390</f>
        <v>390</v>
      </c>
      <c r="D31" s="6">
        <f>326</f>
        <v>326</v>
      </c>
      <c r="E31">
        <f t="shared" si="0"/>
        <v>64</v>
      </c>
      <c r="F31" s="6">
        <f>738</f>
        <v>738</v>
      </c>
      <c r="G31" s="1">
        <f t="shared" si="1"/>
        <v>91</v>
      </c>
      <c r="H31" s="1">
        <f t="shared" si="2"/>
        <v>8.1098901098901095</v>
      </c>
      <c r="I31" s="2">
        <f>51</f>
        <v>51</v>
      </c>
      <c r="J31" s="3">
        <f>40</f>
        <v>40</v>
      </c>
      <c r="K31" s="4">
        <f>5</f>
        <v>5</v>
      </c>
      <c r="L31" s="1">
        <f t="shared" si="3"/>
        <v>4.2857142857142856</v>
      </c>
      <c r="M31" s="5">
        <f>1548</f>
        <v>1548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Fox</dc:creator>
  <cp:lastModifiedBy>Peter Fox</cp:lastModifiedBy>
  <dcterms:created xsi:type="dcterms:W3CDTF">2024-07-10T14:38:29Z</dcterms:created>
  <dcterms:modified xsi:type="dcterms:W3CDTF">2024-07-12T14:53:26Z</dcterms:modified>
</cp:coreProperties>
</file>